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59CF7375-AE49-4061-B072-FDC63FD1E5E6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Gráficos!$A$1:$AN$45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" i="12" l="1"/>
  <c r="B27" i="12"/>
  <c r="AM27" i="12"/>
  <c r="Z27" i="12"/>
  <c r="Y27" i="12"/>
  <c r="M27" i="12"/>
  <c r="L27" i="12"/>
  <c r="K27" i="12"/>
  <c r="J27" i="12"/>
  <c r="F27" i="12"/>
  <c r="E27" i="12"/>
  <c r="D27" i="12"/>
  <c r="C27" i="12"/>
  <c r="B2736" i="3" l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35" i="3"/>
  <c r="AG32" i="12" l="1"/>
  <c r="AF32" i="12"/>
  <c r="AE32" i="12"/>
  <c r="AD32" i="12"/>
  <c r="AG31" i="12"/>
  <c r="AF31" i="12"/>
  <c r="AE31" i="12"/>
  <c r="AD31" i="12"/>
  <c r="AM30" i="12"/>
  <c r="AL30" i="12"/>
  <c r="AG30" i="12"/>
  <c r="AF30" i="12"/>
  <c r="AE30" i="12"/>
  <c r="AD30" i="12"/>
  <c r="AD28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3" i="12" l="1"/>
  <c r="K33" i="12"/>
  <c r="J33" i="12"/>
  <c r="E33" i="12"/>
  <c r="D33" i="12"/>
  <c r="C33" i="12"/>
  <c r="B36" i="12" l="1"/>
  <c r="Q32" i="12" l="1"/>
  <c r="Q31" i="12"/>
  <c r="Q28" i="12"/>
  <c r="Q27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AD29" i="12" l="1"/>
  <c r="AM29" i="12"/>
  <c r="AG29" i="12"/>
  <c r="AF29" i="12"/>
  <c r="AE29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T28" i="12"/>
  <c r="K28" i="12"/>
  <c r="R28" i="12"/>
  <c r="C28" i="12"/>
  <c r="J28" i="12"/>
  <c r="D28" i="12"/>
  <c r="M28" i="12"/>
  <c r="L28" i="12"/>
  <c r="F28" i="12"/>
  <c r="S28" i="12"/>
  <c r="E28" i="12"/>
  <c r="AE28" i="12" l="1"/>
  <c r="AF28" i="12"/>
  <c r="AL28" i="12"/>
  <c r="AG28" i="12"/>
  <c r="AM28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Z34" i="12" l="1"/>
  <c r="Y34" i="12"/>
  <c r="K34" i="12"/>
  <c r="AM34" i="12"/>
  <c r="AG27" i="12"/>
  <c r="AF27" i="12"/>
  <c r="AG34" i="12"/>
  <c r="AF34" i="12"/>
  <c r="AE34" i="12"/>
  <c r="AC27" i="12"/>
  <c r="AE27" i="12"/>
  <c r="F34" i="12"/>
  <c r="P27" i="12"/>
  <c r="C34" i="12"/>
  <c r="M34" i="12"/>
  <c r="D34" i="12"/>
  <c r="E34" i="12"/>
  <c r="R27" i="12"/>
  <c r="J34" i="12"/>
  <c r="S27" i="12"/>
  <c r="T27" i="12"/>
  <c r="L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<sst xmlns="http://schemas.openxmlformats.org/spreadsheetml/2006/main" count="237" uniqueCount="39">
  <si>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</si>
  <si>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</si>
  <si>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</si>
  <si>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</si>
  <si>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</si>
  <si>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</si>
  <si>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</si>
  <si>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</si>
  <si>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</si>
  <si>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</si>
  <si>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</si>
  <si>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</si>
  <si>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</si>
  <si>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</si>
  <si>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</si>
  <si>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</si>
  <si>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</si>
  <si>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</si>
  <si>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</si>
  <si>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</si>
  <si>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</si>
  <si>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</si>
  <si>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</si>
  <si>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</si>
  <si>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</si>
  <si>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</si>
  <si>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</si>
  <si>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</si>
  <si>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</si>
  <si>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</si>
  <si>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</si>
  <si>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</si>
  <si>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</si>
  <si>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</si>
  <si>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</si>
  <si>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</si>
  <si>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</si>
  <si>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lo que va del año,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</si>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</sst>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7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0" fontId="33" fillId="38" borderId="24" xfId="0" applyNumberFormat="1" applyFont="1" applyFill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Diarios'!$P$3:$P$2748</c:f>
              <c:numCache>
                <c:formatCode>#,##0.00</c:formatCode>
                <c:ptCount val="2746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Diarios'!$E$3:$E$2748</c:f>
              <c:numCache>
                <c:formatCode>#,##0.00</c:formatCode>
                <c:ptCount val="2746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Diarios'!$D$3:$D$2734</c:f>
              <c:numCache>
                <c:formatCode>#,##0.00</c:formatCode>
                <c:ptCount val="27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Diarios'!$D$3:$D$2748</c:f>
              <c:numCache>
                <c:formatCode>#,##0.00</c:formatCode>
                <c:ptCount val="274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22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Diarios'!$Q$3:$Q$2748</c:f>
              <c:numCache>
                <c:formatCode>#,##0.00</c:formatCode>
                <c:ptCount val="2746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Diarios'!$H$3:$H$2748</c:f>
              <c:numCache>
                <c:formatCode>#,##0.00</c:formatCode>
                <c:ptCount val="2746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Diarios'!$F$3:$F$2748</c:f>
              <c:numCache>
                <c:formatCode>#,##0.00</c:formatCode>
                <c:ptCount val="274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Diarios'!$G$3:$G$2748</c:f>
              <c:numCache>
                <c:formatCode>#,##0.00</c:formatCode>
                <c:ptCount val="274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22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Diarios'!$B$3:$B$2748</c:f>
              <c:numCache>
                <c:formatCode>m/d/yyyy</c:formatCode>
                <c:ptCount val="2746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</c:numCache>
            </c:numRef>
          </c:cat>
          <c:val>
            <c:numRef>
              <c:f>'Valores Cuota Diarios'!$M$3:$M$2748</c:f>
              <c:numCache>
                <c:formatCode>#,##0.00</c:formatCode>
                <c:ptCount val="274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22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551693049357815"/>
          <c:w val="0.84244434644687061"/>
          <c:h val="0.73096907747939044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Diarios'!$B$2524:$B$2748</c:f>
              <c:numCache>
                <c:formatCode>m/d/yyyy</c:formatCode>
                <c:ptCount val="22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</c:numCache>
            </c:numRef>
          </c:cat>
          <c:val>
            <c:numRef>
              <c:f>'Valores Cuota Diarios'!$S$2508:$S$2748</c:f>
              <c:numCache>
                <c:formatCode>#,##0.00</c:formatCode>
                <c:ptCount val="24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Diarios'!$B$2524:$B$2748</c:f>
              <c:numCache>
                <c:formatCode>m/d/yyyy</c:formatCode>
                <c:ptCount val="22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</c:numCache>
            </c:numRef>
          </c:cat>
          <c:val>
            <c:numRef>
              <c:f>'Valores Cuota Diarios'!$T$2524:$T$2748</c:f>
              <c:numCache>
                <c:formatCode>#,##0.00</c:formatCode>
                <c:ptCount val="225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022"/>
          <c:min val="45798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</c:dateAx>
      <c:valAx>
        <c:axId val="2137109103"/>
        <c:scaling>
          <c:orientation val="minMax"/>
          <c:max val="114"/>
          <c:min val="96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34</xdr:row>
      <xdr:rowOff>213821</xdr:rowOff>
    </xdr:from>
    <xdr:to>
      <xdr:col>39</xdr:col>
      <xdr:colOff>7399</xdr:colOff>
      <xdr:row>41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39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</row>
    <row r="23" spans="1:26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26</v>
      </c>
      <c r="X23" s="64"/>
      <c r="Y23" s="64"/>
      <c r="Z23" s="64"/>
    </row>
    <row r="24" spans="1:26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46022</v>
      </c>
      <c r="B27" s="43">
        <f>+$A$27</f>
        <v>46022</v>
      </c>
      <c r="C27" s="36">
        <f>+(VLOOKUP($A27,'Valores Cuota Diarios'!$B:$Q,'Gráficos (2)'!C$25,0)/VLOOKUP($A28,'Valores Cuota Diarios'!$B:$Q,'Gráficos (2)'!C$25,0))-1</f>
        <v>9.0082332543897081E-2</v>
      </c>
      <c r="D27" s="36">
        <f>+(VLOOKUP($A27,'Valores Cuota Diarios'!$B:$Q,'Gráficos (2)'!D$25,0)/VLOOKUP($A28,'Valores Cuota Diarios'!$B:$Q,'Gráficos (2)'!D$25,0))-1</f>
        <v>8.9430426585853873E-2</v>
      </c>
      <c r="E27" s="50">
        <f>+(VLOOKUP($A27,'Valores Cuota Diarios'!$B:$Q,'Gráficos (2)'!E$25,0)/VLOOKUP($A28,'Valores Cuota Diarios'!$B:$Q,'Gráficos (2)'!E$25,0))-1</f>
        <v>8.8778909422059682E-2</v>
      </c>
      <c r="F27" s="36">
        <f>+(VLOOKUP($A27,'Valores Cuota Diarios'!$B:$Q,'Gráficos (2)'!F$25,0)/VLOOKUP($A28,'Valores Cuota Diarios'!$B:$Q,'Gráficos (2)'!F$25,0))-1</f>
        <v>8.5912742448000179E-2</v>
      </c>
      <c r="G27" s="28"/>
      <c r="H27" s="28"/>
      <c r="I27" s="43">
        <f>+$A$27</f>
        <v>46022</v>
      </c>
      <c r="J27" s="36">
        <f>+(VLOOKUP($A27,'Valores Cuota Diarios'!$B:$Q,'Gráficos (2)'!J$25,0)/VLOOKUP($A28,'Valores Cuota Diarios'!$B:$Q,'Gráficos (2)'!J$25,0))-1</f>
        <v>0.15842128740397987</v>
      </c>
      <c r="K27" s="36">
        <f>+(VLOOKUP($A27,'Valores Cuota Diarios'!$B:$Q,'Gráficos (2)'!K$25,0)/VLOOKUP($A28,'Valores Cuota Diarios'!$B:$Q,'Gráficos (2)'!K$25,0))-1</f>
        <v>0.15565265654584204</v>
      </c>
      <c r="L27" s="50">
        <f>+(VLOOKUP($A27,'Valores Cuota Diarios'!$B:$Q,'Gráficos (2)'!L$25,0)/VLOOKUP($A28,'Valores Cuota Diarios'!$B:$Q,'Gráficos (2)'!L$25,0))-1</f>
        <v>0.15289062463931846</v>
      </c>
      <c r="M27" s="36">
        <f>+(VLOOKUP($A27,'Valores Cuota Diarios'!$B:$Q,'Gráficos (2)'!M$25,0)/VLOOKUP($A28,'Valores Cuota Diarios'!$B:$Q,'Gráficos (2)'!M$25,0))-1</f>
        <v>0.14908937768917996</v>
      </c>
      <c r="N27" s="28"/>
      <c r="O27" s="28"/>
      <c r="P27" s="43">
        <f>+$A$27</f>
        <v>46022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46022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3.8225897865074465E-2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0.14657005404078149</v>
      </c>
      <c r="D34" s="30">
        <f>+(VLOOKUP($A27,'Valores Cuota Diarios'!$B:$Q,'Gráficos (2)'!D$25,0)/VLOOKUP(43248,'Valores Cuota Diarios'!$B:$Q,'Gráficos (2)'!D$25,0))-1</f>
        <v>0.13514960761854278</v>
      </c>
      <c r="E34" s="51">
        <f>+(VLOOKUP($A27,'Valores Cuota Diarios'!$B:$Q,'Gráficos (2)'!E$25,0)/VLOOKUP(43248,'Valores Cuota Diarios'!$B:$Q,'Gráficos (2)'!E$25,0))-1</f>
        <v>0.12049707759965433</v>
      </c>
      <c r="F34" s="30">
        <f>+(VLOOKUP($A27,'Valores Cuota Diarios'!$B:$Q,'Gráficos (2)'!F$25,0)/VLOOKUP(43993,'Valores Cuota Diarios'!$B:$Q,'Gráficos (2)'!F$25,0))-1</f>
        <v>8.2112358978737587E-2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0.77130593165501926</v>
      </c>
      <c r="K34" s="30">
        <f>+(VLOOKUP($A27,'Valores Cuota Diarios'!$B:$Q,'Gráficos (2)'!K$25,0)/VLOOKUP(43248,'Valores Cuota Diarios'!$B:$Q,'Gráficos (2)'!K$25,0))-1</f>
        <v>0.73378685267136357</v>
      </c>
      <c r="L34" s="51">
        <f>+(VLOOKUP($A27,'Valores Cuota Diarios'!$B:$Q,'Gráficos (2)'!L$25,0)/VLOOKUP(43248,'Valores Cuota Diarios'!$B:$Q,'Gráficos (2)'!L$25,0))-1</f>
        <v>0.67567336361172581</v>
      </c>
      <c r="M34" s="30">
        <f>+(VLOOKUP($A27,'Valores Cuota Diarios'!$B:$Q,'Gráficos (2)'!M$25,0)/VLOOKUP(43993,'Valores Cuota Diarios'!$B:$Q,'Gráficos (2)'!M$25,0))-1</f>
        <v>0.73846805226283729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0.14658879462543961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Diciembre 2025</v>
      </c>
    </row>
    <row r="37" spans="1:26" ht="14.45" customHeight="1" x14ac:dyDescent="0.25">
      <c r="B37" s="65" t="s">
        <v>28</v>
      </c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M2671"/>
  <sheetViews>
    <sheetView showGridLines="0" tabSelected="1" zoomScale="80" zoomScaleNormal="80" workbookViewId="0">
      <selection activeCell="AJ27" sqref="AJ27"/>
    </sheetView>
  </sheetViews>
  <sheetFormatPr baseColWidth="10" defaultRowHeight="15" x14ac:dyDescent="0.25"/>
  <cols>
    <col min="1" max="1" width="12.140625" style="2" bestFit="1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7" width="6.28515625" customWidth="1"/>
    <col min="38" max="38" width="17.5703125" customWidth="1"/>
    <col min="39" max="39" width="18.140625" customWidth="1"/>
  </cols>
  <sheetData>
    <row r="22" spans="1:39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  <c r="AC22" s="66" t="s">
        <v>5</v>
      </c>
      <c r="AD22" s="66"/>
      <c r="AE22" s="66"/>
      <c r="AF22" s="66"/>
      <c r="AG22" s="66"/>
      <c r="AJ22" s="66" t="s">
        <v>5</v>
      </c>
      <c r="AK22" s="66"/>
      <c r="AL22" s="66"/>
      <c r="AM22" s="66"/>
    </row>
    <row r="23" spans="1:39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34</v>
      </c>
      <c r="X23" s="64"/>
      <c r="Y23" s="64"/>
      <c r="Z23" s="64"/>
      <c r="AA23" s="24"/>
      <c r="AB23" s="24"/>
      <c r="AC23" s="67" t="s">
        <v>12</v>
      </c>
      <c r="AD23" s="67"/>
      <c r="AE23" s="67"/>
      <c r="AF23" s="68"/>
      <c r="AG23" s="70" t="s">
        <v>31</v>
      </c>
      <c r="AH23" s="24"/>
      <c r="AI23" s="24"/>
      <c r="AJ23" s="64" t="s">
        <v>26</v>
      </c>
      <c r="AK23" s="64"/>
      <c r="AL23" s="64"/>
      <c r="AM23" s="64"/>
    </row>
    <row r="24" spans="1:39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  <c r="AA24" s="24"/>
      <c r="AB24" s="24"/>
      <c r="AC24" s="64"/>
      <c r="AD24" s="64"/>
      <c r="AE24" s="64"/>
      <c r="AF24" s="69"/>
      <c r="AG24" s="70"/>
      <c r="AH24" s="24"/>
      <c r="AI24" s="24"/>
      <c r="AJ24" s="64"/>
      <c r="AK24" s="64"/>
      <c r="AL24" s="64"/>
      <c r="AM24" s="64"/>
    </row>
    <row r="25" spans="1:39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11</v>
      </c>
      <c r="AM25" s="25">
        <v>12</v>
      </c>
    </row>
    <row r="26" spans="1:39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6"/>
      <c r="AL26" s="27" t="s">
        <v>0</v>
      </c>
      <c r="AM26" s="27" t="s">
        <v>1</v>
      </c>
    </row>
    <row r="27" spans="1:39" s="22" customFormat="1" ht="25.15" customHeight="1" x14ac:dyDescent="0.25">
      <c r="A27" s="54">
        <f>+EOMONTH(MAX('Valores Cuota Diarios'!B:B),-1)</f>
        <v>46022</v>
      </c>
      <c r="B27" s="43" t="str">
        <f>+TEXT($A$27,"yyyy")</f>
        <v>2025</v>
      </c>
      <c r="C27" s="36">
        <f>+((1+(VLOOKUP($A27,'Valores Cuota Diarios'!$B:$Q,Gráficos!C$25,0)/VLOOKUP($A28,'Valores Cuota Diarios'!$B:$Q,Gráficos!C$25,0))-1)^(360/365))-1</f>
        <v>8.8795105213803183E-2</v>
      </c>
      <c r="D27" s="36">
        <f>+((1+(VLOOKUP($A27,'Valores Cuota Diarios'!$B:$Q,Gráficos!D$25,0)/VLOOKUP($A28,'Valores Cuota Diarios'!$B:$Q,Gráficos!D$25,0))-1)^(360/365))-1</f>
        <v>8.8152886103264994E-2</v>
      </c>
      <c r="E27" s="63">
        <f>+((1+(VLOOKUP($A27,'Valores Cuota Diarios'!$B:$Q,Gráficos!E$25,0)/VLOOKUP($A28,'Valores Cuota Diarios'!$B:$Q,Gráficos!E$25,0))-1)^(360/365))-1</f>
        <v>8.7511044750101297E-2</v>
      </c>
      <c r="F27" s="36">
        <f>+((1+(VLOOKUP($A27,'Valores Cuota Diarios'!$B:$Q,Gráficos!F$25,0)/VLOOKUP($A28,'Valores Cuota Diarios'!$B:$Q,Gráficos!F$25,0))-1)^(360/365))-1</f>
        <v>8.4687381263200079E-2</v>
      </c>
      <c r="G27" s="28"/>
      <c r="H27" s="28"/>
      <c r="I27" s="43" t="str">
        <f>+TEXT($A$27,"yyyy")</f>
        <v>2025</v>
      </c>
      <c r="J27" s="36">
        <f>((1+(VLOOKUP($A27,'Valores Cuota Diarios'!$B:$Q,Gráficos!J$25,0)/VLOOKUP($A28,'Valores Cuota Diarios'!$B:$Q,Gráficos!J$25,0))-1)^(360/365))-1</f>
        <v>0.15609000273471163</v>
      </c>
      <c r="K27" s="36">
        <f>((1+(VLOOKUP($A27,'Valores Cuota Diarios'!$B:$Q,Gráficos!K$25,0)/VLOOKUP($A28,'Valores Cuota Diarios'!$B:$Q,Gráficos!K$25,0))-1)^(360/365))-1</f>
        <v>0.15336474913189369</v>
      </c>
      <c r="L27" s="63">
        <f>((1+(VLOOKUP($A27,'Valores Cuota Diarios'!$B:$Q,Gráficos!L$25,0)/VLOOKUP($A28,'Valores Cuota Diarios'!$B:$Q,Gráficos!L$25,0))-1)^(360/365))-1</f>
        <v>0.1506459019724431</v>
      </c>
      <c r="M27" s="36">
        <f>+((1+(VLOOKUP($A27,'Valores Cuota Diarios'!$B:$Q,Gráficos!M$25,0)/VLOOKUP($A28,'Valores Cuota Diarios'!$B:$Q,Gráficos!M$25,0))-1)^(360/365))-1</f>
        <v>0.14690394208955881</v>
      </c>
      <c r="N27" s="28"/>
      <c r="O27" s="28"/>
      <c r="P27" s="43">
        <f>+$A$27</f>
        <v>46022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 t="s">
        <v>38</v>
      </c>
      <c r="X27" s="40"/>
      <c r="Y27" s="37">
        <f>+Y34</f>
        <v>7.5967525406257508E-3</v>
      </c>
      <c r="Z27" s="37">
        <f>+Z34</f>
        <v>0.1134767771265266</v>
      </c>
      <c r="AA27" s="28"/>
      <c r="AB27" s="28"/>
      <c r="AC27" s="43">
        <f>+$A$27</f>
        <v>46022</v>
      </c>
      <c r="AD27" s="38">
        <f>-(1)</f>
        <v>-1</v>
      </c>
      <c r="AE27" s="36">
        <f>+(VLOOKUP($A27,'Valores Cuota Diarios'!$B:$Q,Gráficos!AE$25,0)/VLOOKUP($A28,'Valores Cuota Diarios'!$B:$Q,Gráficos!AE$25,0))-1</f>
        <v>-1</v>
      </c>
      <c r="AF27" s="50">
        <f>+(VLOOKUP($A27,'Valores Cuota Diarios'!$B:$Q,Gráficos!AF$25,0)/VLOOKUP($A28,'Valores Cuota Diarios'!$B:$Q,Gráficos!AF$25,0))-1</f>
        <v>-1</v>
      </c>
      <c r="AG27" s="36">
        <f>+(VLOOKUP($A27,'Valores Cuota Diarios'!$B:$Q,Gráficos!AG$25,0)/VLOOKUP($A28,'Valores Cuota Diarios'!$B:$Q,Gráficos!AG$25,0))-1</f>
        <v>-1</v>
      </c>
      <c r="AH27" s="28"/>
      <c r="AI27" s="28"/>
      <c r="AJ27" s="43" t="s">
        <v>38</v>
      </c>
      <c r="AK27" s="40"/>
      <c r="AL27" s="37" t="s">
        <v>15</v>
      </c>
      <c r="AM27" s="36">
        <f>+((1+(VLOOKUP($A27,'Valores Cuota Diarios'!$B:$Q,Gráficos!AM$25,0)/VLOOKUP($A28,'Valores Cuota Diarios'!$B:$Q,Gráficos!AM$25,0))-1)^(360/365))-1</f>
        <v>3.7692509281750386E-2</v>
      </c>
    </row>
    <row r="28" spans="1:39" s="22" customFormat="1" ht="25.15" customHeight="1" x14ac:dyDescent="0.25">
      <c r="A28" s="54">
        <v>45657</v>
      </c>
      <c r="B28" s="29" t="s">
        <v>25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25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25</v>
      </c>
      <c r="X28" s="32"/>
      <c r="Y28" s="31" t="s">
        <v>15</v>
      </c>
      <c r="Z28" s="31" t="s">
        <v>15</v>
      </c>
      <c r="AA28" s="28"/>
      <c r="AB28" s="28"/>
      <c r="AC28" s="29" t="s">
        <v>25</v>
      </c>
      <c r="AD28" s="39">
        <f>-(1)</f>
        <v>-1</v>
      </c>
      <c r="AE28" s="30">
        <f>+((1+(VLOOKUP($A28,'Valores Cuota Diarios'!$B:$Q,Gráficos!AE$25,0)/VLOOKUP($A29,'Valores Cuota Diarios'!$B:$Q,Gráficos!AE$25,0))-1)^(360/366))-1</f>
        <v>9.0677290910854191E-2</v>
      </c>
      <c r="AF28" s="51">
        <f>+((1+(VLOOKUP($A28,'Valores Cuota Diarios'!$B:$Q,Gráficos!AF$25,0)/VLOOKUP($A29,'Valores Cuota Diarios'!$B:$Q,Gráficos!AF$25,0))-1)^(360/366))-1</f>
        <v>8.8106218007420356E-2</v>
      </c>
      <c r="AG28" s="30">
        <f>+((1+(VLOOKUP($A28,'Valores Cuota Diarios'!$B:$Q,Gráficos!AG$25,0)/VLOOKUP($A29,'Valores Cuota Diarios'!$B:$Q,Gráficos!AG$25,0))-1)^(360/366))-1</f>
        <v>8.414651472181145E-2</v>
      </c>
      <c r="AH28" s="28"/>
      <c r="AI28" s="28"/>
      <c r="AJ28" s="29" t="s">
        <v>25</v>
      </c>
      <c r="AK28" s="32"/>
      <c r="AL28" s="30">
        <f>+((1+(VLOOKUP($A28,'Valores Cuota Diarios'!$B:$Q,Gráficos!AL$25,0)/VLOOKUP($A29,'Valores Cuota Diarios'!$B:$Q,Gráficos!AL$25,0))-1)^(360/366))-1</f>
        <v>4.6974147502720998E-2</v>
      </c>
      <c r="AM28" s="30">
        <f>+((1+(VLOOKUP($A28,'Valores Cuota Diarios'!$B:$Q,Gráficos!AM$25,0)/VLOOKUP($A29,'Valores Cuota Diarios'!$B:$Q,Gráficos!AM$25,0))-1)^(360/366))-1</f>
        <v>4.6005786558312112E-2</v>
      </c>
    </row>
    <row r="29" spans="1:39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24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24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7" t="s">
        <v>15</v>
      </c>
      <c r="AA29" s="28"/>
      <c r="AB29" s="28"/>
      <c r="AC29" s="35" t="s">
        <v>24</v>
      </c>
      <c r="AD29" s="36">
        <f>+((1+(VLOOKUP($A29,'Valores Cuota Diarios'!$B:$Q,Gráficos!AD$25,0)/VLOOKUP($A30,'Valores Cuota Diarios'!$B:$Q,Gráficos!AD$25,0))-1)^(360/365))-1</f>
        <v>0.2314181186462958</v>
      </c>
      <c r="AE29" s="36">
        <f>+((1+(VLOOKUP($A29,'Valores Cuota Diarios'!$B:$Q,Gráficos!AE$25,0)/VLOOKUP($A30,'Valores Cuota Diarios'!$B:$Q,Gráficos!AE$25,0))-1)^(360/365))-1</f>
        <v>0.22851529390386571</v>
      </c>
      <c r="AF29" s="50">
        <f>+((1+(VLOOKUP($A29,'Valores Cuota Diarios'!$B:$Q,Gráficos!AF$25,0)/VLOOKUP($A30,'Valores Cuota Diarios'!$B:$Q,Gráficos!AF$25,0))-1)^(360/365))-1</f>
        <v>0.22561929303363693</v>
      </c>
      <c r="AG29" s="36">
        <f>+((1+(VLOOKUP($A29,'Valores Cuota Diarios'!$B:$Q,Gráficos!AG$25,0)/VLOOKUP($A30,'Valores Cuota Diarios'!$B:$Q,Gráficos!AG$25,0))-1)^(360/365))-1</f>
        <v>0.22048056161773855</v>
      </c>
      <c r="AH29" s="28"/>
      <c r="AI29" s="28"/>
      <c r="AJ29" s="35" t="s">
        <v>24</v>
      </c>
      <c r="AK29" s="40"/>
      <c r="AL29" s="37" t="s">
        <v>15</v>
      </c>
      <c r="AM29" s="36">
        <f>+((1+(VLOOKUP($A29,'Valores Cuota Diarios'!$B:$Q,Gráficos!AM$25,0)/VLOOKUP($A30,'Valores Cuota Diarios'!$B:$Q,Gráficos!AM$25,0))-1)^(360/365)-1)</f>
        <v>4.4759696299023544E-2</v>
      </c>
    </row>
    <row r="30" spans="1:39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23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23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23</v>
      </c>
      <c r="X30" s="32"/>
      <c r="Y30" s="31" t="s">
        <v>15</v>
      </c>
      <c r="Z30" s="31" t="s">
        <v>15</v>
      </c>
      <c r="AA30" s="28"/>
      <c r="AB30" s="28"/>
      <c r="AC30" s="29" t="s">
        <v>23</v>
      </c>
      <c r="AD30" s="30">
        <f>+((1+(VLOOKUP($A30,'Valores Cuota Diarios'!$B:$Q,Gráficos!AD$25,0)/VLOOKUP($A31,'Valores Cuota Diarios'!$B:$Q,Gráficos!AD$25,0))-1)^(360/365))-1</f>
        <v>-0.30261112945869151</v>
      </c>
      <c r="AE30" s="30">
        <f>+((1+(VLOOKUP($A30,'Valores Cuota Diarios'!$B:$Q,Gráficos!AE$25,0)/VLOOKUP($A31,'Valores Cuota Diarios'!$B:$Q,Gráficos!AE$25,0))-1)^(360/365))-1</f>
        <v>-0.30425508583536576</v>
      </c>
      <c r="AF30" s="51">
        <f>+((1+(VLOOKUP($A30,'Valores Cuota Diarios'!$B:$Q,Gráficos!AF$25,0)/VLOOKUP($A31,'Valores Cuota Diarios'!$B:$Q,Gráficos!AF$25,0))-1)^(360/365))-1</f>
        <v>-0.30589517764934304</v>
      </c>
      <c r="AG30" s="30">
        <f>+((1+(VLOOKUP($A30,'Valores Cuota Diarios'!$B:$Q,Gráficos!AG$25,0)/VLOOKUP($A31,'Valores Cuota Diarios'!$B:$Q,Gráficos!AG$25,0))-1)^(360/365))-1</f>
        <v>-0.30876760496015243</v>
      </c>
      <c r="AH30" s="28"/>
      <c r="AI30" s="53">
        <v>44781</v>
      </c>
      <c r="AJ30" s="29" t="s">
        <v>23</v>
      </c>
      <c r="AK30" s="32"/>
      <c r="AL30" s="30">
        <f>+(VLOOKUP($A30,'Valores Cuota Diarios'!$B:$Q,Gráficos!AL$25,0)/VLOOKUP($V30,'Valores Cuota Diarios'!$B:$Q,Gráficos!AL$25,0))-1</f>
        <v>9.4361632589528011E-3</v>
      </c>
      <c r="AM30" s="30">
        <f>+(VLOOKUP($A30,'Valores Cuota Diarios'!$B:$Q,Gráficos!AM$25,0)/VLOOKUP(44782,'Valores Cuota Diarios'!$B:$Q,Gráficos!AM$25,0))-1</f>
        <v>9.1586903294791355E-3</v>
      </c>
    </row>
    <row r="31" spans="1:39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10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  <c r="AA31" s="28"/>
      <c r="AB31" s="28"/>
      <c r="AC31" s="35" t="s">
        <v>10</v>
      </c>
      <c r="AD31" s="38">
        <f t="shared" ref="AD31:AD32" si="1">-(1)</f>
        <v>-1</v>
      </c>
      <c r="AE31" s="36">
        <f>+((1+(VLOOKUP($A31,'Valores Cuota Diarios'!$B:$Q,Gráficos!AE$25,0)/VLOOKUP($A32,'Valores Cuota Diarios'!$B:$Q,Gráficos!AE$25,0))-1)^(360/365))-1</f>
        <v>-2.4786764995176735E-2</v>
      </c>
      <c r="AF31" s="50">
        <f>+((1+(VLOOKUP($A31,'Valores Cuota Diarios'!$B:$Q,Gráficos!AF$25,0)/VLOOKUP($A32,'Valores Cuota Diarios'!$B:$Q,Gráficos!AF$25,0))-1)^(360/365))-1</f>
        <v>-2.7085652433732954E-2</v>
      </c>
      <c r="AG31" s="36">
        <f>+((1+(VLOOKUP($A31,'Valores Cuota Diarios'!$B:$Q,Gráficos!AG$25,0)/VLOOKUP($A32,'Valores Cuota Diarios'!$B:$Q,Gráficos!AG$25,0))-1)^(360/365))-1</f>
        <v>-2.7130562817328063E-2</v>
      </c>
      <c r="AH31" s="28"/>
      <c r="AI31" s="28"/>
      <c r="AJ31" s="35" t="s">
        <v>10</v>
      </c>
      <c r="AK31" s="40"/>
      <c r="AL31" s="37" t="s">
        <v>15</v>
      </c>
      <c r="AM31" s="37" t="s">
        <v>15</v>
      </c>
    </row>
    <row r="32" spans="1:39" s="22" customFormat="1" ht="25.15" customHeight="1" x14ac:dyDescent="0.25">
      <c r="A32" s="23">
        <v>44196</v>
      </c>
      <c r="B32" s="29" t="s">
        <v>7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7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  <c r="AA32" s="28"/>
      <c r="AB32" s="28"/>
      <c r="AC32" s="29" t="s">
        <v>7</v>
      </c>
      <c r="AD32" s="39">
        <f t="shared" si="1"/>
        <v>-1</v>
      </c>
      <c r="AE32" s="30">
        <f>+(VLOOKUP($A32,'Valores Cuota Diarios'!$B:$Q,Gráficos!AE$25,0)/100)-1</f>
        <v>0.42864124779255119</v>
      </c>
      <c r="AF32" s="51">
        <f>+(VLOOKUP($A32,'Valores Cuota Diarios'!$B:$Q,Gráficos!AF$25,0)/100)-1</f>
        <v>0.4254603758706017</v>
      </c>
      <c r="AG32" s="30">
        <f>+(VLOOKUP($A32,'Valores Cuota Diarios'!$B:$Q,Gráficos!AG$25,0)/100)-1</f>
        <v>0.44111635820365014</v>
      </c>
      <c r="AH32" s="28"/>
      <c r="AI32" s="28"/>
      <c r="AJ32" s="29" t="s">
        <v>7</v>
      </c>
      <c r="AK32" s="32"/>
      <c r="AL32" s="31" t="s">
        <v>15</v>
      </c>
      <c r="AM32" s="31" t="s">
        <v>15</v>
      </c>
    </row>
    <row r="33" spans="1:39" s="22" customFormat="1" ht="25.15" customHeight="1" x14ac:dyDescent="0.25">
      <c r="A33" s="23">
        <v>43830</v>
      </c>
      <c r="B33" s="35" t="s">
        <v>8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  <c r="AA33" s="28"/>
      <c r="AB33" s="28"/>
      <c r="AC33" s="35" t="s">
        <v>8</v>
      </c>
      <c r="AD33" s="36" t="s">
        <v>15</v>
      </c>
      <c r="AE33" s="36" t="s">
        <v>15</v>
      </c>
      <c r="AF33" s="50" t="s">
        <v>15</v>
      </c>
      <c r="AG33" s="37" t="s">
        <v>15</v>
      </c>
      <c r="AH33" s="28"/>
      <c r="AI33" s="28"/>
      <c r="AJ33" s="35" t="s">
        <v>8</v>
      </c>
      <c r="AK33" s="40"/>
      <c r="AL33" s="57" t="s">
        <v>15</v>
      </c>
      <c r="AM33" s="57" t="s">
        <v>15</v>
      </c>
    </row>
    <row r="34" spans="1:39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Diarios'!$B:$Q,Gráficos!C$25,0)/VLOOKUP(43248,'Valores Cuota Diarios'!$B:$Q,Gráficos!C$25,0))-1</f>
        <v>0.14657005404078149</v>
      </c>
      <c r="D34" s="30">
        <f>+(VLOOKUP($A27,'Valores Cuota Diarios'!$B:$Q,Gráficos!D$25,0)/VLOOKUP(43248,'Valores Cuota Diarios'!$B:$Q,Gráficos!D$25,0))-1</f>
        <v>0.13514960761854278</v>
      </c>
      <c r="E34" s="51">
        <f>+(VLOOKUP($A27,'Valores Cuota Diarios'!$B:$Q,Gráficos!E$25,0)/VLOOKUP(43248,'Valores Cuota Diarios'!$B:$Q,Gráficos!E$25,0))-1</f>
        <v>0.12049707759965433</v>
      </c>
      <c r="F34" s="30">
        <f>+(VLOOKUP($A27,'Valores Cuota Diarios'!$B:$Q,Gráficos!F$25,0)/VLOOKUP(43993,'Valores Cuota Diarios'!$B:$Q,Gráficos!F$25,0))-1</f>
        <v>8.2112358978737587E-2</v>
      </c>
      <c r="G34" s="28"/>
      <c r="H34" s="28"/>
      <c r="I34" s="33" t="s">
        <v>6</v>
      </c>
      <c r="J34" s="30">
        <f>+(VLOOKUP($A27,'Valores Cuota Diarios'!$B:$Q,Gráficos!J$25,0)/VLOOKUP(43248,'Valores Cuota Diarios'!$B:$Q,Gráficos!J$25,0))-1</f>
        <v>0.77130593165501926</v>
      </c>
      <c r="K34" s="30">
        <f>+(VLOOKUP($A27,'Valores Cuota Diarios'!$B:$Q,Gráficos!K$25,0)/VLOOKUP(43248,'Valores Cuota Diarios'!$B:$Q,Gráficos!K$25,0))-1</f>
        <v>0.73378685267136357</v>
      </c>
      <c r="L34" s="51">
        <f>+(VLOOKUP($A27,'Valores Cuota Diarios'!$B:$Q,Gráficos!L$25,0)/VLOOKUP(43248,'Valores Cuota Diarios'!$B:$Q,Gráficos!L$25,0))-1</f>
        <v>0.67567336361172581</v>
      </c>
      <c r="M34" s="30">
        <f>+(VLOOKUP($A27,'Valores Cuota Diarios'!$B:$Q,Gráficos!M$25,0)/VLOOKUP(43993,'Valores Cuota Diarios'!$B:$Q,Gráficos!M$25,0))-1</f>
        <v>0.73846805226283729</v>
      </c>
      <c r="N34" s="28"/>
      <c r="O34" s="28"/>
      <c r="P34" s="33" t="s">
        <v>6</v>
      </c>
      <c r="Q34" s="30" t="s">
        <v>15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6</v>
      </c>
      <c r="X34" s="30"/>
      <c r="Y34" s="30">
        <f>+(VLOOKUP($A27,'Valores Cuota Diarios'!$B:$T,Gráficos!Y$25,0)/VLOOKUP(45950,'Valores Cuota Diarios'!$B:$T,Gráficos!Y$25,0))-1</f>
        <v>7.5967525406257508E-3</v>
      </c>
      <c r="Z34" s="30">
        <f>+(VLOOKUP($A27,'Valores Cuota Diarios'!$B:$T,Gráficos!Z$25,0)/VLOOKUP(45797,'Valores Cuota Diarios'!$B:$T,Gráficos!Z$25,0))-1</f>
        <v>0.1134767771265266</v>
      </c>
      <c r="AA34" s="28"/>
      <c r="AB34" s="28"/>
      <c r="AC34" s="33" t="s">
        <v>6</v>
      </c>
      <c r="AD34" s="30" t="s">
        <v>15</v>
      </c>
      <c r="AE34" s="30">
        <f>+(VLOOKUP($A27,'Valores Cuota Diarios'!$B:$Q,Gráficos!AE$25,0)/VLOOKUP(43858,'Valores Cuota Diarios'!$B:$Q,Gráficos!AE$25,0))-1</f>
        <v>-1</v>
      </c>
      <c r="AF34" s="51">
        <f>+(VLOOKUP($A27,'Valores Cuota Diarios'!$B:$Q,Gráficos!AF$25,0)/VLOOKUP(43856,'Valores Cuota Diarios'!$B:$Q,Gráficos!AF$25,0))-1</f>
        <v>-1</v>
      </c>
      <c r="AG34" s="30">
        <f>+(VLOOKUP($A27,'Valores Cuota Diarios'!$B:$Q,Gráficos!AG$25,0)/VLOOKUP(43856,'Valores Cuota Diarios'!$B:$Q,Gráficos!AG$25,0))-1</f>
        <v>-1</v>
      </c>
      <c r="AH34" s="28"/>
      <c r="AI34" s="28"/>
      <c r="AJ34" s="33" t="s">
        <v>6</v>
      </c>
      <c r="AK34" s="30"/>
      <c r="AL34" s="58" t="s">
        <v>15</v>
      </c>
      <c r="AM34" s="30">
        <f>+(VLOOKUP($A27,'Valores Cuota Diarios'!$B:$Q,Gráficos!AM$25,0)/VLOOKUP(44781,'Valores Cuota Diarios'!$B:$Q,Gráficos!AM$25,0))-1</f>
        <v>0.14658879462543961</v>
      </c>
    </row>
    <row r="35" spans="1:39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61"/>
      <c r="Z35" s="56"/>
      <c r="AA35" s="28"/>
      <c r="AB35" s="28"/>
      <c r="AC35" s="44"/>
      <c r="AD35" s="56"/>
      <c r="AE35" s="45"/>
      <c r="AF35" s="45"/>
      <c r="AG35" s="45"/>
      <c r="AH35" s="28"/>
      <c r="AI35" s="28"/>
      <c r="AJ35" s="44"/>
      <c r="AK35" s="45"/>
      <c r="AL35" s="46"/>
      <c r="AM35" s="45"/>
    </row>
    <row r="36" spans="1:39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Diciembre 2025</v>
      </c>
    </row>
    <row r="37" spans="1:39" ht="14.45" customHeight="1" x14ac:dyDescent="0.25">
      <c r="B37" s="65" t="s">
        <v>37</v>
      </c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34"/>
      <c r="AG37" s="34"/>
      <c r="AH37" s="34"/>
      <c r="AI37" s="34"/>
      <c r="AJ37" s="34"/>
      <c r="AK37" s="34"/>
      <c r="AL37" s="34"/>
      <c r="AM37" s="34"/>
    </row>
    <row r="38" spans="1:39" ht="14.45" customHeight="1" x14ac:dyDescent="0.25"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34"/>
      <c r="AG38" s="34"/>
      <c r="AH38" s="34"/>
      <c r="AI38" s="34"/>
      <c r="AJ38" s="34"/>
      <c r="AK38" s="34"/>
      <c r="AL38" s="34"/>
      <c r="AM38" s="34"/>
    </row>
    <row r="39" spans="1:39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34"/>
      <c r="AG39" s="34"/>
      <c r="AH39" s="34"/>
      <c r="AI39" s="34"/>
      <c r="AJ39" s="34"/>
      <c r="AK39" s="34"/>
      <c r="AL39" s="34"/>
      <c r="AM39" s="34"/>
    </row>
    <row r="40" spans="1:39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34"/>
      <c r="AG40" s="34"/>
      <c r="AH40" s="34"/>
      <c r="AI40" s="34"/>
      <c r="AJ40" s="34"/>
      <c r="AK40" s="34"/>
      <c r="AL40" s="34"/>
      <c r="AM40" s="34"/>
    </row>
    <row r="41" spans="1:39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34"/>
      <c r="AG41" s="34"/>
      <c r="AH41" s="34"/>
      <c r="AI41" s="34"/>
      <c r="AJ41" s="34"/>
      <c r="AK41" s="34"/>
      <c r="AL41" s="34"/>
      <c r="AM41" s="34"/>
    </row>
    <row r="42" spans="1:39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34"/>
      <c r="AG42" s="34"/>
      <c r="AH42" s="34"/>
      <c r="AI42" s="34"/>
      <c r="AJ42" s="34"/>
      <c r="AK42" s="34"/>
      <c r="AL42" s="34"/>
      <c r="AM42" s="34"/>
    </row>
    <row r="43" spans="1:39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34"/>
      <c r="AG43" s="34"/>
      <c r="AH43" s="34"/>
      <c r="AI43" s="34"/>
      <c r="AJ43" s="34"/>
      <c r="AK43" s="34"/>
      <c r="AL43" s="34"/>
      <c r="AM43" s="34"/>
    </row>
    <row r="44" spans="1:39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34"/>
      <c r="AG44" s="34"/>
      <c r="AH44" s="34"/>
      <c r="AI44" s="34"/>
      <c r="AJ44" s="34"/>
      <c r="AK44" s="34"/>
      <c r="AL44" s="34"/>
      <c r="AM44" s="34"/>
    </row>
    <row r="45" spans="1:39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34"/>
      <c r="AG45" s="34"/>
      <c r="AH45" s="34"/>
      <c r="AI45" s="34"/>
      <c r="AJ45" s="34"/>
      <c r="AK45" s="34"/>
      <c r="AL45" s="34"/>
      <c r="AM45" s="34"/>
    </row>
    <row r="46" spans="1:39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</row>
    <row r="47" spans="1:39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</row>
    <row r="48" spans="1:39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</row>
    <row r="49" spans="3:3" x14ac:dyDescent="0.25">
      <c r="C49" s="42"/>
    </row>
    <row r="2669" spans="16:30" x14ac:dyDescent="0.25">
      <c r="P2669">
        <v>105.8318372607291</v>
      </c>
      <c r="Q2669">
        <v>169.05579879206084</v>
      </c>
      <c r="AC2669">
        <v>105.8318372607291</v>
      </c>
      <c r="AD2669">
        <v>169.05579879206084</v>
      </c>
    </row>
    <row r="2670" spans="16:30" x14ac:dyDescent="0.25">
      <c r="P2670">
        <v>105.84600773804841</v>
      </c>
      <c r="Q2670">
        <v>168.44877516781119</v>
      </c>
      <c r="AC2670">
        <v>105.84600773804841</v>
      </c>
      <c r="AD2670">
        <v>168.44877516781119</v>
      </c>
    </row>
    <row r="2671" spans="16:30" x14ac:dyDescent="0.25">
      <c r="P2671">
        <v>105.97568374167432</v>
      </c>
      <c r="Q2671">
        <v>170.44771819550698</v>
      </c>
      <c r="AC2671">
        <v>105.97568374167432</v>
      </c>
      <c r="AD2671">
        <v>170.44771819550698</v>
      </c>
    </row>
  </sheetData>
  <mergeCells count="17">
    <mergeCell ref="AC22:AG22"/>
    <mergeCell ref="AJ22:AM22"/>
    <mergeCell ref="AC23:AF24"/>
    <mergeCell ref="AG23:AG24"/>
    <mergeCell ref="AJ23:AM24"/>
    <mergeCell ref="B37:Y45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scale="25" orientation="portrait" r:id="rId1"/>
  <ignoredErrors>
    <ignoredError sqref="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749"/>
  <sheetViews>
    <sheetView showGridLines="0" zoomScale="90" zoomScaleNormal="90" workbookViewId="0">
      <pane xSplit="2" ySplit="2" topLeftCell="H2729" activePane="bottomRight" state="frozen"/>
      <selection pane="topRight" activeCell="C1" sqref="C1"/>
      <selection pane="bottomLeft" activeCell="A3" sqref="A3"/>
      <selection pane="bottomRight" activeCell="A2749" sqref="A2749:XFD2749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1" t="s">
        <v>16</v>
      </c>
      <c r="D1" s="71"/>
      <c r="E1" s="71"/>
      <c r="F1" s="72" t="s">
        <v>17</v>
      </c>
      <c r="G1" s="73"/>
      <c r="H1" s="74"/>
      <c r="I1" s="71" t="s">
        <v>18</v>
      </c>
      <c r="J1" s="71"/>
      <c r="K1" s="71"/>
      <c r="L1" s="75" t="s">
        <v>19</v>
      </c>
      <c r="M1" s="71"/>
      <c r="O1" s="18" t="s">
        <v>22</v>
      </c>
      <c r="P1" s="19" t="s">
        <v>20</v>
      </c>
      <c r="Q1" s="18" t="s">
        <v>21</v>
      </c>
      <c r="S1" s="75" t="s">
        <v>35</v>
      </c>
      <c r="T1" s="71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49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6" t="s">
        <v>13</v>
      </c>
      <c r="D5" s="76"/>
      <c r="E5" s="76"/>
      <c r="F5" s="76"/>
    </row>
    <row r="6" spans="2:6" x14ac:dyDescent="0.25">
      <c r="C6" s="76" t="s">
        <v>4</v>
      </c>
      <c r="D6" s="76"/>
      <c r="E6" s="76" t="s">
        <v>14</v>
      </c>
      <c r="F6" s="76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2026-01-05T23:22:32Z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